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vWF-mm" sheetId="1" r:id="rId1"/>
  </sheets>
  <definedNames>
    <definedName name="_xlnm.Print_Area" localSheetId="0">'vWF-mm'!$A$1:$L$56</definedName>
    <definedName name="solver_adj" localSheetId="0" hidden="1">'vWF-mm'!$S$2:$S$5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'vWF-mm'!$S$2</definedName>
    <definedName name="solver_lhs2" localSheetId="0" hidden="1">'vWF-mm'!$S$3</definedName>
    <definedName name="solver_lhs3" localSheetId="0" hidden="1">'vWF-mm'!$S$4</definedName>
    <definedName name="solver_lhs4" localSheetId="0" hidden="1">'vWF-mm'!$S$5</definedName>
    <definedName name="solver_lhs5" localSheetId="0" hidden="1">'vWF-mm'!$S$5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'vWF-mm'!$P$10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700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<sst xmlns="http://schemas.openxmlformats.org/spreadsheetml/2006/main" count="69" uniqueCount="41">
  <si>
    <t>Sigmoide con offset</t>
  </si>
  <si>
    <t>a</t>
  </si>
  <si>
    <t>b</t>
  </si>
  <si>
    <t>c</t>
  </si>
  <si>
    <t>d</t>
  </si>
  <si>
    <t>Saturazione</t>
  </si>
  <si>
    <t>Delta</t>
  </si>
  <si>
    <t>"6.25-100"</t>
  </si>
  <si>
    <t>Offset</t>
  </si>
  <si>
    <t>Lettura</t>
  </si>
  <si>
    <t>media</t>
  </si>
  <si>
    <t>vWF-cp</t>
  </si>
  <si>
    <t>OD</t>
  </si>
  <si>
    <t>N</t>
  </si>
  <si>
    <t>fit</t>
  </si>
  <si>
    <t>[%]</t>
  </si>
  <si>
    <t>[mOD]</t>
  </si>
  <si>
    <t>Concentr.</t>
  </si>
  <si>
    <t>di cal.</t>
  </si>
  <si>
    <t>x</t>
  </si>
  <si>
    <t>sperim</t>
  </si>
  <si>
    <t>mod</t>
  </si>
  <si>
    <t>scarto^2</t>
  </si>
  <si>
    <t>start</t>
  </si>
  <si>
    <t>Data</t>
  </si>
  <si>
    <t>y=a/(1+e(-(x-b)/c))+d</t>
  </si>
  <si>
    <t>escursione</t>
  </si>
  <si>
    <t>x shift</t>
  </si>
  <si>
    <t>pendenza</t>
  </si>
  <si>
    <t>fondo</t>
  </si>
  <si>
    <t>mm2010</t>
  </si>
  <si>
    <t>vincoli</t>
  </si>
  <si>
    <t>c &lt; 0</t>
  </si>
  <si>
    <t>a =</t>
  </si>
  <si>
    <t>b =</t>
  </si>
  <si>
    <t>c =</t>
  </si>
  <si>
    <t>d =</t>
  </si>
  <si>
    <t>a &gt; 800</t>
  </si>
  <si>
    <t>0 &lt; d &lt; 700</t>
  </si>
  <si>
    <t>b &gt; 0,1</t>
  </si>
  <si>
    <t>vWF-cleaving protease activity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</si>
</sst>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0]dddd\ d\ mmmm\ yyyy"/>
    <numFmt numFmtId="179" formatCode="h\.mm\.ss"/>
    <numFmt numFmtId="180" formatCode="[$-F400]h:mm:ss\ AM/PM"/>
    <numFmt numFmtId="181" formatCode="0.0000"/>
    <numFmt numFmtId="182" formatCode="0.000"/>
    <numFmt numFmtId="183" formatCode="0.0"/>
    <numFmt numFmtId="184" formatCode="&quot;L.&quot;\ #,##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E+00"/>
    <numFmt numFmtId="190" formatCode="0.000E+00"/>
    <numFmt numFmtId="191" formatCode="0.000%"/>
    <numFmt numFmtId="192" formatCode="0.0%"/>
    <numFmt numFmtId="193" formatCode="0.0000%"/>
    <numFmt numFmtId="194" formatCode="0.0E+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92" fontId="0" fillId="0" borderId="0" xfId="0" applyNumberFormat="1" applyAlignment="1" applyProtection="1">
      <alignment horizontal="center"/>
      <protection/>
    </xf>
    <xf numFmtId="1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1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left"/>
      <protection/>
    </xf>
    <xf numFmtId="11" fontId="0" fillId="0" borderId="2" xfId="0" applyNumberFormat="1" applyBorder="1" applyAlignment="1" applyProtection="1">
      <alignment horizontal="center"/>
      <protection/>
    </xf>
    <xf numFmtId="1" fontId="0" fillId="0" borderId="3" xfId="0" applyNumberFormat="1" applyBorder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183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91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93" fontId="0" fillId="0" borderId="0" xfId="0" applyNumberFormat="1" applyAlignment="1" applyProtection="1">
      <alignment horizontal="center"/>
      <protection/>
    </xf>
    <xf numFmtId="11" fontId="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'vWF-mm'!$A$17:$A$24</c:f>
              <c:numCache>
                <c:ptCount val="8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0.0625</c:v>
                </c:pt>
                <c:pt idx="5">
                  <c:v>0.05</c:v>
                </c:pt>
                <c:pt idx="6">
                  <c:v>0.03125</c:v>
                </c:pt>
                <c:pt idx="7">
                  <c:v>0.015625</c:v>
                </c:pt>
              </c:numCache>
            </c:numRef>
          </c:xVal>
          <c:yVal>
            <c:numRef>
              <c:f>'vWF-mm'!$B$17:$B$24</c:f>
              <c:numCache>
                <c:ptCount val="8"/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'vWF-mm'!$M$17:$M$33</c:f>
              <c:numCache>
                <c:ptCount val="17"/>
                <c:pt idx="0">
                  <c:v>0.01</c:v>
                </c:pt>
                <c:pt idx="1">
                  <c:v>0.01333521432163324</c:v>
                </c:pt>
                <c:pt idx="2">
                  <c:v>0.01778279410038923</c:v>
                </c:pt>
                <c:pt idx="3">
                  <c:v>0.023713737056616554</c:v>
                </c:pt>
                <c:pt idx="4">
                  <c:v>0.03162277660168379</c:v>
                </c:pt>
                <c:pt idx="5">
                  <c:v>0.042169650342858224</c:v>
                </c:pt>
                <c:pt idx="6">
                  <c:v>0.056234132519034905</c:v>
                </c:pt>
                <c:pt idx="7">
                  <c:v>0.07498942093324558</c:v>
                </c:pt>
                <c:pt idx="8">
                  <c:v>0.09999999999999999</c:v>
                </c:pt>
                <c:pt idx="9">
                  <c:v>0.13335214321633237</c:v>
                </c:pt>
                <c:pt idx="10">
                  <c:v>0.17782794100389224</c:v>
                </c:pt>
                <c:pt idx="11">
                  <c:v>0.23713737056616546</c:v>
                </c:pt>
                <c:pt idx="12">
                  <c:v>0.31622776601683783</c:v>
                </c:pt>
                <c:pt idx="13">
                  <c:v>0.4216965034285821</c:v>
                </c:pt>
                <c:pt idx="14">
                  <c:v>0.5623413251903489</c:v>
                </c:pt>
                <c:pt idx="15">
                  <c:v>0.7498942093324555</c:v>
                </c:pt>
                <c:pt idx="16">
                  <c:v>0.9999999999999996</c:v>
                </c:pt>
              </c:numCache>
            </c:numRef>
          </c:xVal>
          <c:yVal>
            <c:numRef>
              <c:f>'vWF-mm'!$N$17:$N$33</c:f>
              <c:numCache>
                <c:ptCount val="17"/>
                <c:pt idx="0">
                  <c:v>1376.6092286575717</c:v>
                </c:pt>
                <c:pt idx="1">
                  <c:v>1374.126283791464</c:v>
                </c:pt>
                <c:pt idx="2">
                  <c:v>1370.8088238982712</c:v>
                </c:pt>
                <c:pt idx="3">
                  <c:v>1366.3736877780927</c:v>
                </c:pt>
                <c:pt idx="4">
                  <c:v>1360.4397202573978</c:v>
                </c:pt>
                <c:pt idx="5">
                  <c:v>1352.4926167132044</c:v>
                </c:pt>
                <c:pt idx="6">
                  <c:v>1341.8365391217253</c:v>
                </c:pt>
                <c:pt idx="7">
                  <c:v>1327.5275366227975</c:v>
                </c:pt>
                <c:pt idx="8">
                  <c:v>1308.282632475469</c:v>
                </c:pt>
                <c:pt idx="9">
                  <c:v>1282.3586450874996</c:v>
                </c:pt>
                <c:pt idx="10">
                  <c:v>1247.4003128876557</c:v>
                </c:pt>
                <c:pt idx="11">
                  <c:v>1200.2788640998265</c:v>
                </c:pt>
                <c:pt idx="12">
                  <c:v>1137.0065311518094</c:v>
                </c:pt>
                <c:pt idx="13">
                  <c:v>1052.975510191688</c:v>
                </c:pt>
                <c:pt idx="14">
                  <c:v>944.1036576331021</c:v>
                </c:pt>
                <c:pt idx="15">
                  <c:v>809.8707344302918</c:v>
                </c:pt>
                <c:pt idx="16">
                  <c:v>658.7045127114999</c:v>
                </c:pt>
              </c:numCache>
            </c:numRef>
          </c:yVal>
          <c:smooth val="0"/>
        </c:ser>
        <c:ser>
          <c:idx val="2"/>
          <c:order val="2"/>
          <c:tx>
            <c:v>Patient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('vWF-mm'!$H$17:$H$34,'vWF-mm'!$L$17:$L$34)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xVal>
          <c:yVal>
            <c:numRef>
              <c:f>('vWF-mm'!$G$17:$G$34,'vWF-mm'!$K$17:$K$34)</c:f>
              <c:numCache>
                <c:ptCount val="36"/>
              </c:numCache>
            </c:numRef>
          </c:yVal>
          <c:smooth val="0"/>
        </c:ser>
        <c:axId val="14984805"/>
        <c:axId val="60584738"/>
      </c:scatterChart>
      <c:valAx>
        <c:axId val="14984805"/>
        <c:scaling>
          <c:logBase val="10"/>
          <c:orientation val="minMax"/>
          <c:max val="1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vWF-cp activity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584738"/>
        <c:crosses val="autoZero"/>
        <c:crossBetween val="midCat"/>
        <c:dispUnits/>
        <c:majorUnit val="10"/>
        <c:minorUnit val="10"/>
      </c:valAx>
      <c:valAx>
        <c:axId val="6058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Absorbance [mOD]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84805"/>
        <c:crossesAt val="0.01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0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28575</xdr:rowOff>
    </xdr:from>
    <xdr:to>
      <xdr:col>11</xdr:col>
      <xdr:colOff>247650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95250" y="5534025"/>
        <a:ext cx="55435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U5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9.00390625" style="4" bestFit="1" customWidth="1"/>
    <col min="2" max="2" width="10.00390625" style="4" customWidth="1"/>
    <col min="3" max="3" width="10.8515625" style="4" bestFit="1" customWidth="1"/>
    <col min="4" max="4" width="10.57421875" style="4" customWidth="1"/>
    <col min="5" max="5" width="5.28125" style="4" bestFit="1" customWidth="1"/>
    <col min="6" max="6" width="3.00390625" style="5" bestFit="1" customWidth="1"/>
    <col min="7" max="7" width="6.421875" style="4" bestFit="1" customWidth="1"/>
    <col min="8" max="8" width="9.00390625" style="6" bestFit="1" customWidth="1"/>
    <col min="9" max="9" width="7.28125" style="6" bestFit="1" customWidth="1"/>
    <col min="10" max="10" width="3.00390625" style="4" bestFit="1" customWidth="1"/>
    <col min="11" max="11" width="6.421875" style="4" bestFit="1" customWidth="1"/>
    <col min="12" max="12" width="9.00390625" style="4" bestFit="1" customWidth="1"/>
    <col min="13" max="13" width="11.00390625" style="4" bestFit="1" customWidth="1"/>
    <col min="14" max="14" width="6.421875" style="4" bestFit="1" customWidth="1"/>
    <col min="15" max="15" width="11.140625" style="4" customWidth="1"/>
    <col min="16" max="16" width="7.7109375" style="4" customWidth="1"/>
    <col min="17" max="17" width="8.421875" style="4" customWidth="1"/>
    <col min="18" max="18" width="17.421875" style="4" customWidth="1"/>
    <col min="19" max="19" width="9.00390625" style="4" bestFit="1" customWidth="1"/>
    <col min="20" max="16384" width="9.140625" style="4" customWidth="1"/>
  </cols>
  <sheetData>
    <row r="1" spans="1:21" ht="12.75">
      <c r="A1" s="3" t="s">
        <v>40</v>
      </c>
      <c r="M1" s="6" t="s">
        <v>19</v>
      </c>
      <c r="N1" s="4" t="s">
        <v>20</v>
      </c>
      <c r="O1" s="4" t="s">
        <v>21</v>
      </c>
      <c r="P1" s="4" t="s">
        <v>22</v>
      </c>
      <c r="T1" s="4" t="s">
        <v>23</v>
      </c>
      <c r="U1" s="4" t="s">
        <v>31</v>
      </c>
    </row>
    <row r="2" spans="1:21" ht="12.75">
      <c r="A2" s="3"/>
      <c r="D2" s="7"/>
      <c r="E2" s="7"/>
      <c r="M2" s="8">
        <f>A17</f>
        <v>1</v>
      </c>
      <c r="N2" s="5">
        <f>B17</f>
        <v>0</v>
      </c>
      <c r="O2" s="5">
        <f>$S$2/(1+EXP(-(M2-$S$3)/$S$4))+$S$5</f>
        <v>658.7045127114998</v>
      </c>
      <c r="P2" s="4">
        <f aca="true" t="shared" si="0" ref="P2:P7">IF(N2=0,0,(O2-N2)^2)</f>
        <v>0</v>
      </c>
      <c r="Q2" s="4" t="s">
        <v>1</v>
      </c>
      <c r="R2" s="4" t="s">
        <v>26</v>
      </c>
      <c r="S2" s="25">
        <v>1700</v>
      </c>
      <c r="T2" s="9">
        <v>1700</v>
      </c>
      <c r="U2" s="10" t="s">
        <v>37</v>
      </c>
    </row>
    <row r="3" spans="1:21" ht="12.75">
      <c r="A3" s="4" t="s">
        <v>24</v>
      </c>
      <c r="B3" s="11">
        <f ca="1">TODAY()</f>
        <v>40231</v>
      </c>
      <c r="M3" s="8">
        <f aca="true" t="shared" si="1" ref="M3:M9">A18</f>
        <v>0.5</v>
      </c>
      <c r="N3" s="5">
        <f aca="true" t="shared" si="2" ref="N3:N9">B18</f>
        <v>0</v>
      </c>
      <c r="O3" s="5">
        <f aca="true" t="shared" si="3" ref="O3:O9">$S$2/(1+EXP(-(M3-$S$3)/$S$4))+$S$5</f>
        <v>991.717367524531</v>
      </c>
      <c r="P3" s="4">
        <f t="shared" si="0"/>
        <v>0</v>
      </c>
      <c r="Q3" s="4" t="s">
        <v>2</v>
      </c>
      <c r="R3" s="4" t="s">
        <v>27</v>
      </c>
      <c r="S3" s="25">
        <v>0.3</v>
      </c>
      <c r="T3" s="9">
        <v>0.3</v>
      </c>
      <c r="U3" s="10" t="s">
        <v>39</v>
      </c>
    </row>
    <row r="4" spans="13:21" ht="12.75">
      <c r="M4" s="8">
        <f t="shared" si="1"/>
        <v>0.25</v>
      </c>
      <c r="N4" s="5">
        <f t="shared" si="2"/>
        <v>0</v>
      </c>
      <c r="O4" s="5">
        <f t="shared" si="3"/>
        <v>1190.008215573663</v>
      </c>
      <c r="P4" s="4">
        <f t="shared" si="0"/>
        <v>0</v>
      </c>
      <c r="Q4" s="4" t="s">
        <v>3</v>
      </c>
      <c r="R4" s="4" t="s">
        <v>28</v>
      </c>
      <c r="S4" s="25">
        <v>-0.530748439913604</v>
      </c>
      <c r="T4" s="9">
        <v>-0.530748439913604</v>
      </c>
      <c r="U4" s="10" t="s">
        <v>32</v>
      </c>
    </row>
    <row r="5" spans="13:21" ht="12.75">
      <c r="M5" s="8">
        <f t="shared" si="1"/>
        <v>0.125</v>
      </c>
      <c r="N5" s="5">
        <f t="shared" si="2"/>
        <v>0</v>
      </c>
      <c r="O5" s="5">
        <f t="shared" si="3"/>
        <v>1288.8763858672883</v>
      </c>
      <c r="P5" s="4">
        <f t="shared" si="0"/>
        <v>0</v>
      </c>
      <c r="Q5" s="4" t="s">
        <v>4</v>
      </c>
      <c r="R5" s="4" t="s">
        <v>29</v>
      </c>
      <c r="S5" s="25">
        <v>300</v>
      </c>
      <c r="T5" s="9">
        <v>300</v>
      </c>
      <c r="U5" s="10" t="s">
        <v>38</v>
      </c>
    </row>
    <row r="6" spans="3:16" ht="12.75">
      <c r="C6" s="7"/>
      <c r="M6" s="8">
        <f t="shared" si="1"/>
        <v>0.0625</v>
      </c>
      <c r="N6" s="5">
        <f t="shared" si="2"/>
        <v>0</v>
      </c>
      <c r="O6" s="5">
        <f t="shared" si="3"/>
        <v>1337.0683791221613</v>
      </c>
      <c r="P6" s="4">
        <f t="shared" si="0"/>
        <v>0</v>
      </c>
    </row>
    <row r="7" spans="1:16" ht="12.75">
      <c r="A7" s="10" t="s">
        <v>0</v>
      </c>
      <c r="C7" s="12">
        <v>705</v>
      </c>
      <c r="D7" s="12" t="s">
        <v>5</v>
      </c>
      <c r="M7" s="8">
        <f t="shared" si="1"/>
        <v>0.05</v>
      </c>
      <c r="N7" s="5">
        <f t="shared" si="2"/>
        <v>0</v>
      </c>
      <c r="O7" s="5">
        <f t="shared" si="3"/>
        <v>1346.5679589506128</v>
      </c>
      <c r="P7" s="4">
        <f t="shared" si="0"/>
        <v>0</v>
      </c>
    </row>
    <row r="8" spans="1:16" ht="12.75">
      <c r="A8" s="10" t="s">
        <v>25</v>
      </c>
      <c r="C8" s="13" t="s">
        <v>6</v>
      </c>
      <c r="D8" s="14">
        <f>$B$12+$B$9/(1+EXP(-(0-$B$10)/$B$11))</f>
        <v>1384.0287967335116</v>
      </c>
      <c r="M8" s="8">
        <f t="shared" si="1"/>
        <v>0.03125</v>
      </c>
      <c r="N8" s="5">
        <f t="shared" si="2"/>
        <v>0</v>
      </c>
      <c r="O8" s="5">
        <f t="shared" si="3"/>
        <v>1360.7199025548314</v>
      </c>
      <c r="P8" s="4">
        <f>IF(N8=0,0,(O8-N8)^2)</f>
        <v>0</v>
      </c>
    </row>
    <row r="9" spans="1:16" ht="12.75">
      <c r="A9" s="15" t="s">
        <v>33</v>
      </c>
      <c r="B9" s="16">
        <f>S2</f>
        <v>1700</v>
      </c>
      <c r="C9" s="13" t="s">
        <v>7</v>
      </c>
      <c r="D9" s="17" t="s">
        <v>8</v>
      </c>
      <c r="M9" s="8">
        <f t="shared" si="1"/>
        <v>0.015625</v>
      </c>
      <c r="N9" s="5">
        <f t="shared" si="2"/>
        <v>0</v>
      </c>
      <c r="O9" s="5">
        <f t="shared" si="3"/>
        <v>1372.419236070783</v>
      </c>
      <c r="P9" s="4">
        <f>IF(N9=0,0,(O9-N9)^2)</f>
        <v>0</v>
      </c>
    </row>
    <row r="10" spans="1:16" ht="12.75">
      <c r="A10" s="15" t="s">
        <v>34</v>
      </c>
      <c r="B10" s="16">
        <f>S3</f>
        <v>0.3</v>
      </c>
      <c r="C10" s="14">
        <f>B21-B17</f>
        <v>0</v>
      </c>
      <c r="D10" s="14">
        <f>B12</f>
        <v>300</v>
      </c>
      <c r="P10" s="4">
        <f>SUM(P2:P9)</f>
        <v>0</v>
      </c>
    </row>
    <row r="11" spans="1:4" ht="12.75">
      <c r="A11" s="15" t="s">
        <v>35</v>
      </c>
      <c r="B11" s="16">
        <f>S4</f>
        <v>-0.530748439913604</v>
      </c>
      <c r="C11" s="14"/>
      <c r="D11" s="14" t="s">
        <v>9</v>
      </c>
    </row>
    <row r="12" spans="1:4" ht="12.75">
      <c r="A12" s="15" t="s">
        <v>36</v>
      </c>
      <c r="B12" s="16">
        <f>S5</f>
        <v>300</v>
      </c>
      <c r="C12" s="18"/>
      <c r="D12" s="18">
        <f>(D8-D10)/2+B12</f>
        <v>842.0143983667558</v>
      </c>
    </row>
    <row r="13" spans="13:17" ht="12.75">
      <c r="M13" s="4">
        <f>SQRT(SQRT(SQRT(10)))</f>
        <v>1.333521432163324</v>
      </c>
      <c r="Q13" s="4" t="s">
        <v>10</v>
      </c>
    </row>
    <row r="14" spans="1:18" ht="12.75">
      <c r="A14" s="4" t="s">
        <v>17</v>
      </c>
      <c r="B14" s="4" t="s">
        <v>12</v>
      </c>
      <c r="C14" s="4" t="s">
        <v>12</v>
      </c>
      <c r="J14" s="5"/>
      <c r="L14" s="6"/>
      <c r="M14" s="4" t="s">
        <v>17</v>
      </c>
      <c r="N14" s="4" t="s">
        <v>12</v>
      </c>
      <c r="P14" s="4" t="s">
        <v>11</v>
      </c>
      <c r="Q14" s="4" t="s">
        <v>12</v>
      </c>
      <c r="R14" s="10" t="s">
        <v>0</v>
      </c>
    </row>
    <row r="15" spans="1:20" ht="12.75">
      <c r="A15" s="4" t="s">
        <v>18</v>
      </c>
      <c r="B15" s="4" t="s">
        <v>20</v>
      </c>
      <c r="C15" s="4" t="s">
        <v>14</v>
      </c>
      <c r="D15" s="4" t="s">
        <v>6</v>
      </c>
      <c r="F15" s="5" t="s">
        <v>13</v>
      </c>
      <c r="G15" s="4" t="s">
        <v>12</v>
      </c>
      <c r="H15" s="4" t="s">
        <v>17</v>
      </c>
      <c r="I15" s="4"/>
      <c r="J15" s="5" t="s">
        <v>13</v>
      </c>
      <c r="K15" s="4" t="s">
        <v>12</v>
      </c>
      <c r="L15" s="4" t="s">
        <v>17</v>
      </c>
      <c r="M15" s="4" t="s">
        <v>14</v>
      </c>
      <c r="N15" s="4" t="s">
        <v>14</v>
      </c>
      <c r="P15" s="4" t="s">
        <v>15</v>
      </c>
      <c r="Q15" s="4" t="s">
        <v>16</v>
      </c>
      <c r="R15" s="4" t="s">
        <v>1</v>
      </c>
      <c r="S15" s="9">
        <v>2123.469407687585</v>
      </c>
      <c r="T15" s="9"/>
    </row>
    <row r="16" spans="1:20" ht="12.75">
      <c r="A16" s="4" t="s">
        <v>15</v>
      </c>
      <c r="B16" s="4" t="s">
        <v>16</v>
      </c>
      <c r="C16" s="4" t="s">
        <v>16</v>
      </c>
      <c r="D16" s="4" t="s">
        <v>15</v>
      </c>
      <c r="G16" s="4" t="s">
        <v>16</v>
      </c>
      <c r="H16" s="6" t="s">
        <v>15</v>
      </c>
      <c r="J16" s="5"/>
      <c r="K16" s="4" t="s">
        <v>16</v>
      </c>
      <c r="L16" s="6" t="s">
        <v>15</v>
      </c>
      <c r="M16" s="4" t="s">
        <v>15</v>
      </c>
      <c r="N16" s="4" t="s">
        <v>16</v>
      </c>
      <c r="P16" s="19">
        <v>1</v>
      </c>
      <c r="Q16" s="5">
        <v>615</v>
      </c>
      <c r="R16" s="4" t="s">
        <v>2</v>
      </c>
      <c r="S16" s="9">
        <v>0.01</v>
      </c>
      <c r="T16" s="9"/>
    </row>
    <row r="17" spans="1:20" ht="12.75">
      <c r="A17" s="19">
        <v>1</v>
      </c>
      <c r="B17" s="2"/>
      <c r="C17" s="5" t="e">
        <f aca="true" t="shared" si="4" ref="C17:C23">IF(B17="",NA(),$B$12+$B$9/(1+EXP(-(A17-$B$10)/$B$11)))</f>
        <v>#N/A</v>
      </c>
      <c r="D17" s="6" t="e">
        <f>IF(B17="",NA(),C17/B17-1)</f>
        <v>#N/A</v>
      </c>
      <c r="E17" s="20"/>
      <c r="F17" s="21">
        <v>1</v>
      </c>
      <c r="G17" s="1"/>
      <c r="H17" s="6" t="e">
        <f aca="true" t="shared" si="5" ref="H17:H34">IF(OR(G17="",G17&lt;$D$10,G17&gt;$D$8),NA(),$B$10-$B$11*LN($B$9/(G17-$B$12)-1))</f>
        <v>#N/A</v>
      </c>
      <c r="J17" s="21">
        <v>19</v>
      </c>
      <c r="K17" s="1"/>
      <c r="L17" s="6" t="e">
        <f aca="true" t="shared" si="6" ref="L17:L34">IF(OR(K17="",K17&lt;$D$10,K17&gt;$D$8),NA(),$B$10-$B$11*LN($B$9/(K17-$B$12)-1))</f>
        <v>#N/A</v>
      </c>
      <c r="M17" s="22">
        <v>0.01</v>
      </c>
      <c r="N17" s="5">
        <f>$B$12+$B$9/(1+EXP(-(M17-$B$10)/$B$11))</f>
        <v>1376.6092286575717</v>
      </c>
      <c r="P17" s="19">
        <v>0.5</v>
      </c>
      <c r="Q17" s="5">
        <v>918</v>
      </c>
      <c r="R17" s="4" t="s">
        <v>3</v>
      </c>
      <c r="S17" s="9">
        <v>-0.30459696778860335</v>
      </c>
      <c r="T17" s="9"/>
    </row>
    <row r="18" spans="1:20" ht="12.75">
      <c r="A18" s="19">
        <v>0.5</v>
      </c>
      <c r="B18" s="2"/>
      <c r="C18" s="5" t="e">
        <f t="shared" si="4"/>
        <v>#N/A</v>
      </c>
      <c r="D18" s="6" t="e">
        <f aca="true" t="shared" si="7" ref="D18:D24">IF(B18="",NA(),C18/B18-1)</f>
        <v>#N/A</v>
      </c>
      <c r="E18" s="20"/>
      <c r="F18" s="5">
        <v>2</v>
      </c>
      <c r="G18" s="1"/>
      <c r="H18" s="6" t="e">
        <f t="shared" si="5"/>
        <v>#N/A</v>
      </c>
      <c r="J18" s="5">
        <v>20</v>
      </c>
      <c r="K18" s="1"/>
      <c r="L18" s="6" t="e">
        <f t="shared" si="6"/>
        <v>#N/A</v>
      </c>
      <c r="M18" s="22">
        <f aca="true" t="shared" si="8" ref="M18:M33">M17*$M$13</f>
        <v>0.01333521432163324</v>
      </c>
      <c r="N18" s="5">
        <f aca="true" t="shared" si="9" ref="N18:N33">$B$12+$B$9/(1+EXP(-(M18-$B$10)/$B$11))</f>
        <v>1374.126283791464</v>
      </c>
      <c r="P18" s="19">
        <v>0.25</v>
      </c>
      <c r="Q18" s="5">
        <v>1209</v>
      </c>
      <c r="R18" s="4" t="s">
        <v>4</v>
      </c>
      <c r="S18" s="9">
        <v>544.8458599071191</v>
      </c>
      <c r="T18" s="9"/>
    </row>
    <row r="19" spans="1:17" ht="12.75">
      <c r="A19" s="19">
        <v>0.25</v>
      </c>
      <c r="B19" s="2"/>
      <c r="C19" s="5" t="e">
        <f t="shared" si="4"/>
        <v>#N/A</v>
      </c>
      <c r="D19" s="6" t="e">
        <f t="shared" si="7"/>
        <v>#N/A</v>
      </c>
      <c r="E19" s="20"/>
      <c r="F19" s="5">
        <v>3</v>
      </c>
      <c r="G19" s="1"/>
      <c r="H19" s="6" t="e">
        <f t="shared" si="5"/>
        <v>#N/A</v>
      </c>
      <c r="J19" s="21">
        <v>21</v>
      </c>
      <c r="K19" s="1"/>
      <c r="L19" s="6" t="e">
        <f t="shared" si="6"/>
        <v>#N/A</v>
      </c>
      <c r="M19" s="22">
        <f t="shared" si="8"/>
        <v>0.01778279410038923</v>
      </c>
      <c r="N19" s="5">
        <f t="shared" si="9"/>
        <v>1370.8088238982712</v>
      </c>
      <c r="P19" s="6">
        <v>0.125</v>
      </c>
      <c r="Q19" s="5">
        <v>1362</v>
      </c>
    </row>
    <row r="20" spans="1:17" ht="12.75">
      <c r="A20" s="6">
        <v>0.125</v>
      </c>
      <c r="B20" s="2"/>
      <c r="C20" s="5" t="e">
        <f t="shared" si="4"/>
        <v>#N/A</v>
      </c>
      <c r="D20" s="6" t="e">
        <f t="shared" si="7"/>
        <v>#N/A</v>
      </c>
      <c r="E20" s="20"/>
      <c r="F20" s="5">
        <v>4</v>
      </c>
      <c r="G20" s="1"/>
      <c r="H20" s="6" t="e">
        <f t="shared" si="5"/>
        <v>#N/A</v>
      </c>
      <c r="J20" s="5">
        <v>22</v>
      </c>
      <c r="K20" s="1"/>
      <c r="L20" s="6" t="e">
        <f t="shared" si="6"/>
        <v>#N/A</v>
      </c>
      <c r="M20" s="22">
        <f t="shared" si="8"/>
        <v>0.023713737056616554</v>
      </c>
      <c r="N20" s="5">
        <f t="shared" si="9"/>
        <v>1366.3736877780927</v>
      </c>
      <c r="P20" s="23">
        <v>0.0625</v>
      </c>
      <c r="Q20" s="5">
        <v>1501</v>
      </c>
    </row>
    <row r="21" spans="1:17" ht="12.75">
      <c r="A21" s="23">
        <v>0.0625</v>
      </c>
      <c r="B21" s="2"/>
      <c r="C21" s="5" t="e">
        <f t="shared" si="4"/>
        <v>#N/A</v>
      </c>
      <c r="D21" s="6" t="e">
        <f t="shared" si="7"/>
        <v>#N/A</v>
      </c>
      <c r="E21" s="20"/>
      <c r="F21" s="5">
        <v>5</v>
      </c>
      <c r="G21" s="1"/>
      <c r="H21" s="6" t="e">
        <f t="shared" si="5"/>
        <v>#N/A</v>
      </c>
      <c r="J21" s="21">
        <v>23</v>
      </c>
      <c r="K21" s="1"/>
      <c r="L21" s="6" t="e">
        <f t="shared" si="6"/>
        <v>#N/A</v>
      </c>
      <c r="M21" s="22">
        <f t="shared" si="8"/>
        <v>0.03162277660168379</v>
      </c>
      <c r="N21" s="5">
        <f t="shared" si="9"/>
        <v>1360.4397202573978</v>
      </c>
      <c r="P21" s="19">
        <v>0.05</v>
      </c>
      <c r="Q21" s="5">
        <v>1586</v>
      </c>
    </row>
    <row r="22" spans="1:17" ht="12.75">
      <c r="A22" s="19">
        <v>0.05</v>
      </c>
      <c r="B22" s="2"/>
      <c r="C22" s="5" t="e">
        <f t="shared" si="4"/>
        <v>#N/A</v>
      </c>
      <c r="D22" s="6" t="e">
        <f t="shared" si="7"/>
        <v>#N/A</v>
      </c>
      <c r="E22" s="20"/>
      <c r="F22" s="5">
        <v>6</v>
      </c>
      <c r="G22" s="1"/>
      <c r="H22" s="6" t="e">
        <f t="shared" si="5"/>
        <v>#N/A</v>
      </c>
      <c r="J22" s="5">
        <v>24</v>
      </c>
      <c r="K22" s="1"/>
      <c r="L22" s="6" t="e">
        <f t="shared" si="6"/>
        <v>#N/A</v>
      </c>
      <c r="M22" s="22">
        <f t="shared" si="8"/>
        <v>0.042169650342858224</v>
      </c>
      <c r="N22" s="5">
        <f t="shared" si="9"/>
        <v>1352.4926167132044</v>
      </c>
      <c r="P22" s="22"/>
      <c r="Q22" s="5"/>
    </row>
    <row r="23" spans="1:17" ht="12.75">
      <c r="A23" s="22">
        <v>0.03125</v>
      </c>
      <c r="B23" s="2"/>
      <c r="C23" s="5" t="e">
        <f t="shared" si="4"/>
        <v>#N/A</v>
      </c>
      <c r="D23" s="6" t="e">
        <f t="shared" si="7"/>
        <v>#N/A</v>
      </c>
      <c r="E23" s="20"/>
      <c r="F23" s="5">
        <v>7</v>
      </c>
      <c r="G23" s="1"/>
      <c r="H23" s="6" t="e">
        <f t="shared" si="5"/>
        <v>#N/A</v>
      </c>
      <c r="J23" s="21">
        <v>25</v>
      </c>
      <c r="K23" s="1"/>
      <c r="L23" s="6" t="e">
        <f t="shared" si="6"/>
        <v>#N/A</v>
      </c>
      <c r="M23" s="22">
        <f t="shared" si="8"/>
        <v>0.056234132519034905</v>
      </c>
      <c r="N23" s="5">
        <f t="shared" si="9"/>
        <v>1341.8365391217253</v>
      </c>
      <c r="P23" s="23"/>
      <c r="Q23" s="5"/>
    </row>
    <row r="24" spans="1:14" ht="12.75">
      <c r="A24" s="24">
        <v>0.015625</v>
      </c>
      <c r="B24" s="2"/>
      <c r="C24" s="5" t="e">
        <f>IF(B24="",NA(),$B$12+$B$9/(1+EXP(-(A24-$B$10)/$B$11)))</f>
        <v>#N/A</v>
      </c>
      <c r="D24" s="6" t="e">
        <f t="shared" si="7"/>
        <v>#N/A</v>
      </c>
      <c r="E24" s="20"/>
      <c r="F24" s="5">
        <v>8</v>
      </c>
      <c r="G24" s="1"/>
      <c r="H24" s="6" t="e">
        <f t="shared" si="5"/>
        <v>#N/A</v>
      </c>
      <c r="J24" s="5">
        <v>26</v>
      </c>
      <c r="K24" s="1"/>
      <c r="L24" s="6" t="e">
        <f t="shared" si="6"/>
        <v>#N/A</v>
      </c>
      <c r="M24" s="22">
        <f t="shared" si="8"/>
        <v>0.07498942093324558</v>
      </c>
      <c r="N24" s="5">
        <f t="shared" si="9"/>
        <v>1327.5275366227975</v>
      </c>
    </row>
    <row r="25" spans="4:14" ht="12.75">
      <c r="D25" s="6"/>
      <c r="E25" s="20"/>
      <c r="F25" s="5">
        <v>9</v>
      </c>
      <c r="G25" s="1"/>
      <c r="H25" s="6" t="e">
        <f t="shared" si="5"/>
        <v>#N/A</v>
      </c>
      <c r="J25" s="21">
        <v>27</v>
      </c>
      <c r="K25" s="1"/>
      <c r="L25" s="6" t="e">
        <f t="shared" si="6"/>
        <v>#N/A</v>
      </c>
      <c r="M25" s="22">
        <f t="shared" si="8"/>
        <v>0.09999999999999999</v>
      </c>
      <c r="N25" s="5">
        <f t="shared" si="9"/>
        <v>1308.282632475469</v>
      </c>
    </row>
    <row r="26" spans="6:14" ht="12.75">
      <c r="F26" s="5">
        <v>10</v>
      </c>
      <c r="G26" s="1"/>
      <c r="H26" s="6" t="e">
        <f t="shared" si="5"/>
        <v>#N/A</v>
      </c>
      <c r="J26" s="5">
        <v>28</v>
      </c>
      <c r="K26" s="1"/>
      <c r="L26" s="6" t="e">
        <f t="shared" si="6"/>
        <v>#N/A</v>
      </c>
      <c r="M26" s="22">
        <f t="shared" si="8"/>
        <v>0.13335214321633237</v>
      </c>
      <c r="N26" s="5">
        <f t="shared" si="9"/>
        <v>1282.3586450874996</v>
      </c>
    </row>
    <row r="27" spans="6:14" ht="12.75">
      <c r="F27" s="5">
        <v>11</v>
      </c>
      <c r="G27" s="1"/>
      <c r="H27" s="6" t="e">
        <f t="shared" si="5"/>
        <v>#N/A</v>
      </c>
      <c r="J27" s="21">
        <v>29</v>
      </c>
      <c r="K27" s="1"/>
      <c r="L27" s="6" t="e">
        <f t="shared" si="6"/>
        <v>#N/A</v>
      </c>
      <c r="M27" s="22">
        <f t="shared" si="8"/>
        <v>0.17782794100389224</v>
      </c>
      <c r="N27" s="5">
        <f t="shared" si="9"/>
        <v>1247.4003128876557</v>
      </c>
    </row>
    <row r="28" spans="6:14" ht="12.75">
      <c r="F28" s="5">
        <v>12</v>
      </c>
      <c r="G28" s="1"/>
      <c r="H28" s="6" t="e">
        <f t="shared" si="5"/>
        <v>#N/A</v>
      </c>
      <c r="J28" s="5">
        <v>30</v>
      </c>
      <c r="K28" s="1"/>
      <c r="L28" s="6" t="e">
        <f t="shared" si="6"/>
        <v>#N/A</v>
      </c>
      <c r="M28" s="22">
        <f t="shared" si="8"/>
        <v>0.23713737056616546</v>
      </c>
      <c r="N28" s="5">
        <f t="shared" si="9"/>
        <v>1200.2788640998265</v>
      </c>
    </row>
    <row r="29" spans="6:14" ht="12.75">
      <c r="F29" s="5">
        <v>13</v>
      </c>
      <c r="G29" s="1"/>
      <c r="H29" s="6" t="e">
        <f t="shared" si="5"/>
        <v>#N/A</v>
      </c>
      <c r="J29" s="21">
        <v>31</v>
      </c>
      <c r="K29" s="1"/>
      <c r="L29" s="6" t="e">
        <f t="shared" si="6"/>
        <v>#N/A</v>
      </c>
      <c r="M29" s="22">
        <f t="shared" si="8"/>
        <v>0.31622776601683783</v>
      </c>
      <c r="N29" s="5">
        <f t="shared" si="9"/>
        <v>1137.0065311518094</v>
      </c>
    </row>
    <row r="30" spans="6:14" ht="12.75">
      <c r="F30" s="5">
        <v>14</v>
      </c>
      <c r="G30" s="1"/>
      <c r="H30" s="6" t="e">
        <f t="shared" si="5"/>
        <v>#N/A</v>
      </c>
      <c r="J30" s="5">
        <v>32</v>
      </c>
      <c r="K30" s="1"/>
      <c r="L30" s="6" t="e">
        <f t="shared" si="6"/>
        <v>#N/A</v>
      </c>
      <c r="M30" s="22">
        <f t="shared" si="8"/>
        <v>0.4216965034285821</v>
      </c>
      <c r="N30" s="5">
        <f t="shared" si="9"/>
        <v>1052.975510191688</v>
      </c>
    </row>
    <row r="31" spans="6:14" ht="12.75">
      <c r="F31" s="5">
        <v>15</v>
      </c>
      <c r="G31" s="1"/>
      <c r="H31" s="6" t="e">
        <f t="shared" si="5"/>
        <v>#N/A</v>
      </c>
      <c r="J31" s="21">
        <v>33</v>
      </c>
      <c r="K31" s="1"/>
      <c r="L31" s="6" t="e">
        <f t="shared" si="6"/>
        <v>#N/A</v>
      </c>
      <c r="M31" s="22">
        <f t="shared" si="8"/>
        <v>0.5623413251903489</v>
      </c>
      <c r="N31" s="5">
        <f t="shared" si="9"/>
        <v>944.1036576331021</v>
      </c>
    </row>
    <row r="32" spans="6:14" ht="12.75">
      <c r="F32" s="5">
        <v>16</v>
      </c>
      <c r="G32" s="1"/>
      <c r="H32" s="6" t="e">
        <f t="shared" si="5"/>
        <v>#N/A</v>
      </c>
      <c r="J32" s="5">
        <v>34</v>
      </c>
      <c r="K32" s="1"/>
      <c r="L32" s="6" t="e">
        <f t="shared" si="6"/>
        <v>#N/A</v>
      </c>
      <c r="M32" s="22">
        <f t="shared" si="8"/>
        <v>0.7498942093324555</v>
      </c>
      <c r="N32" s="5">
        <f t="shared" si="9"/>
        <v>809.8707344302918</v>
      </c>
    </row>
    <row r="33" spans="6:14" ht="12.75">
      <c r="F33" s="5">
        <v>17</v>
      </c>
      <c r="G33" s="1"/>
      <c r="H33" s="6" t="e">
        <f t="shared" si="5"/>
        <v>#N/A</v>
      </c>
      <c r="J33" s="21">
        <v>35</v>
      </c>
      <c r="K33" s="1"/>
      <c r="L33" s="6" t="e">
        <f t="shared" si="6"/>
        <v>#N/A</v>
      </c>
      <c r="M33" s="22">
        <f t="shared" si="8"/>
        <v>0.9999999999999996</v>
      </c>
      <c r="N33" s="5">
        <f t="shared" si="9"/>
        <v>658.7045127114999</v>
      </c>
    </row>
    <row r="34" spans="6:13" ht="12.75">
      <c r="F34" s="5">
        <v>18</v>
      </c>
      <c r="G34" s="1"/>
      <c r="H34" s="6" t="e">
        <f t="shared" si="5"/>
        <v>#N/A</v>
      </c>
      <c r="J34" s="5">
        <v>36</v>
      </c>
      <c r="K34" s="1"/>
      <c r="L34" s="6" t="e">
        <f t="shared" si="6"/>
        <v>#N/A</v>
      </c>
      <c r="M34" s="22"/>
    </row>
    <row r="35" ht="12.75">
      <c r="M35" s="22"/>
    </row>
    <row r="36" ht="12.75">
      <c r="M36" s="22"/>
    </row>
    <row r="37" ht="12.75">
      <c r="M37" s="22"/>
    </row>
    <row r="38" ht="12.75">
      <c r="M38" s="22"/>
    </row>
    <row r="39" ht="12.75">
      <c r="M39" s="22"/>
    </row>
    <row r="40" ht="12.75">
      <c r="M40" s="22"/>
    </row>
    <row r="41" ht="12.75">
      <c r="M41" s="22"/>
    </row>
    <row r="56" ht="12.75">
      <c r="L56" s="15" t="s">
        <v>30</v>
      </c>
    </row>
  </sheetData>
  <sheetProtection password="F6D7" sheet="1" objects="1" scenarios="1"/>
  <printOptions/>
  <pageMargins left="0.75" right="0.75" top="1" bottom="1" header="0.5" footer="0.5"/>
  <pageSetup fitToHeight="1" fitToWidth="1" horizontalDpi="600" verticalDpi="600" orientation="portrait" paperSize="9" scale="96" r:id="rId2"/>
  <ignoredErrors>
    <ignoredError sqref="B9:B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Ospedale Niguarda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mminella</dc:creator>
  <cp:keywords/>
  <dc:description/>
  <cp:lastModifiedBy>mminella</cp:lastModifiedBy>
  <cp:lastPrinted>2010-02-22T10:26:00Z</cp:lastPrinted>
  <dcterms:created xsi:type="dcterms:W3CDTF">2006-02-13T11:53:32Z</dcterms:created>
  <dcterms:modified xsi:type="dcterms:W3CDTF">2010-02-22T14:50:05Z</dcterms:modified>
  <cp:category/>
  <cp:version/>
  <cp:contentType/>
  <cp:contentStatus/>
</cp:coreProperties>
</file>